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540" yWindow="100" windowWidth="13820" windowHeight="14300" tabRatio="500"/>
  </bookViews>
  <sheets>
    <sheet name="3-fold" sheetId="1" r:id="rId1"/>
    <sheet name="2-fold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2" i="1"/>
  <c r="D16" i="1"/>
  <c r="D15" i="1"/>
  <c r="D14" i="1"/>
  <c r="D13" i="1"/>
  <c r="D12" i="1"/>
  <c r="C13" i="1"/>
  <c r="C14" i="1"/>
  <c r="C15" i="1"/>
  <c r="C12" i="1"/>
  <c r="R14" i="2"/>
  <c r="R13" i="2"/>
  <c r="P9" i="2"/>
  <c r="P6" i="2"/>
  <c r="P3" i="2"/>
  <c r="H9" i="2"/>
  <c r="H8" i="2"/>
  <c r="H7" i="2"/>
  <c r="H6" i="2"/>
  <c r="H5" i="2"/>
  <c r="H4" i="2"/>
  <c r="H3" i="2"/>
  <c r="H2" i="2"/>
  <c r="R14" i="1"/>
  <c r="R15" i="1"/>
  <c r="R16" i="1"/>
  <c r="R13" i="1"/>
  <c r="Q4" i="1"/>
  <c r="P9" i="1"/>
  <c r="P6" i="1"/>
  <c r="P3" i="1"/>
  <c r="I10" i="2"/>
  <c r="O2" i="2"/>
  <c r="J15" i="2"/>
  <c r="K15" i="2"/>
  <c r="L15" i="2"/>
  <c r="M15" i="2"/>
  <c r="N15" i="2"/>
  <c r="O15" i="2"/>
  <c r="M7" i="2"/>
  <c r="J14" i="2"/>
  <c r="K14" i="2"/>
  <c r="L14" i="2"/>
  <c r="M14" i="2"/>
  <c r="N14" i="2"/>
  <c r="O14" i="2"/>
  <c r="M4" i="2"/>
  <c r="J13" i="2"/>
  <c r="K13" i="2"/>
  <c r="L13" i="2"/>
  <c r="M13" i="2"/>
  <c r="N13" i="2"/>
  <c r="O13" i="2"/>
  <c r="J10" i="2"/>
  <c r="K10" i="2"/>
  <c r="I9" i="2"/>
  <c r="J9" i="2"/>
  <c r="K9" i="2"/>
  <c r="I8" i="2"/>
  <c r="J8" i="2"/>
  <c r="K8" i="2"/>
  <c r="I7" i="2"/>
  <c r="J7" i="2"/>
  <c r="K7" i="2"/>
  <c r="I6" i="2"/>
  <c r="J6" i="2"/>
  <c r="K6" i="2"/>
  <c r="I5" i="2"/>
  <c r="J5" i="2"/>
  <c r="K5" i="2"/>
  <c r="I4" i="2"/>
  <c r="J4" i="2"/>
  <c r="K4" i="2"/>
  <c r="I3" i="2"/>
  <c r="J3" i="2"/>
  <c r="K3" i="2"/>
  <c r="I2" i="2"/>
  <c r="J2" i="2"/>
  <c r="K2" i="2"/>
  <c r="L14" i="1"/>
  <c r="L15" i="1"/>
  <c r="L16" i="1"/>
  <c r="L13" i="1"/>
  <c r="J14" i="1"/>
  <c r="K14" i="1"/>
  <c r="M14" i="1"/>
  <c r="N14" i="1"/>
  <c r="O14" i="1"/>
  <c r="J15" i="1"/>
  <c r="K15" i="1"/>
  <c r="M15" i="1"/>
  <c r="N15" i="1"/>
  <c r="O15" i="1"/>
  <c r="J16" i="1"/>
  <c r="K16" i="1"/>
  <c r="M16" i="1"/>
  <c r="N16" i="1"/>
  <c r="O16" i="1"/>
  <c r="J13" i="1"/>
  <c r="K13" i="1"/>
  <c r="M13" i="1"/>
  <c r="N13" i="1"/>
  <c r="O13" i="1"/>
  <c r="O4" i="1"/>
  <c r="M9" i="1"/>
  <c r="M6" i="1"/>
  <c r="M3" i="1"/>
  <c r="K3" i="1"/>
  <c r="K4" i="1"/>
  <c r="K5" i="1"/>
  <c r="K6" i="1"/>
  <c r="K7" i="1"/>
  <c r="K2" i="1"/>
  <c r="J3" i="1"/>
  <c r="J4" i="1"/>
  <c r="J5" i="1"/>
  <c r="J6" i="1"/>
  <c r="J7" i="1"/>
  <c r="J2" i="1"/>
  <c r="I3" i="1"/>
  <c r="I4" i="1"/>
  <c r="I5" i="1"/>
  <c r="I6" i="1"/>
  <c r="I7" i="1"/>
  <c r="I2" i="1"/>
</calcChain>
</file>

<file path=xl/sharedStrings.xml><?xml version="1.0" encoding="utf-8"?>
<sst xmlns="http://schemas.openxmlformats.org/spreadsheetml/2006/main" count="59" uniqueCount="32">
  <si>
    <t>Wells</t>
  </si>
  <si>
    <t xml:space="preserve">A </t>
  </si>
  <si>
    <t>C</t>
  </si>
  <si>
    <t>D</t>
  </si>
  <si>
    <t>B</t>
  </si>
  <si>
    <t>E</t>
  </si>
  <si>
    <t>Concentration mg/ml</t>
  </si>
  <si>
    <t>Mean Value μ</t>
  </si>
  <si>
    <t>Standard deviation</t>
  </si>
  <si>
    <t>Standard error</t>
  </si>
  <si>
    <t>F</t>
  </si>
  <si>
    <t>G</t>
  </si>
  <si>
    <t>H</t>
  </si>
  <si>
    <t>Standards(absorbance)</t>
  </si>
  <si>
    <t>10μl standards(absorbance)</t>
  </si>
  <si>
    <t>Samples (absorbance)</t>
  </si>
  <si>
    <t>Concentration(samples)</t>
  </si>
  <si>
    <t>Protein(p) mg/ml</t>
  </si>
  <si>
    <t>4p mg/ml</t>
  </si>
  <si>
    <t>m(ng)</t>
  </si>
  <si>
    <t>m (mg)</t>
  </si>
  <si>
    <t>V (ml)</t>
  </si>
  <si>
    <t>Cells</t>
  </si>
  <si>
    <t>samples</t>
  </si>
  <si>
    <t>control</t>
  </si>
  <si>
    <t>% cells per sample</t>
  </si>
  <si>
    <t>Oι τιμές με κόκκινο είναι αυτές που μας χαλάνε τα αποτελέσματα</t>
  </si>
  <si>
    <t>Προκύπτει πρόβλημα με το control καθώς βγαίνει κάτω από την δυνητική ικανότητα μέτρησης της μεθόδου!!</t>
  </si>
  <si>
    <t>Αυτό μπορεί και να οφείλεται σε πολύ μικρό σφάλμα πιπεταρίσματος.</t>
  </si>
  <si>
    <t>T-TEST</t>
  </si>
  <si>
    <t>T-TEST WITH CONTROL</t>
  </si>
  <si>
    <t>T-VALUE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</si>
</sst>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2"/>
      <name val="Calibri"/>
      <charset val="161"/>
      <scheme val="minor"/>
    </font>
    <font>
      <sz val="12"/>
      <color rgb="FFFF0000"/>
      <name val="Calibri"/>
      <family val="2"/>
      <charset val="161"/>
      <scheme val="minor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0" fillId="3" borderId="0" xfId="0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5" borderId="0" xfId="0" applyFont="1" applyFill="1"/>
    <xf numFmtId="0" fontId="0" fillId="6" borderId="0" xfId="0" applyFill="1"/>
    <xf numFmtId="0" fontId="0" fillId="6" borderId="0" xfId="0" applyFill="1" applyBorder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0" borderId="0" xfId="0" applyFill="1"/>
    <xf numFmtId="0" fontId="3" fillId="0" borderId="0" xfId="0" applyFont="1"/>
    <xf numFmtId="0" fontId="2" fillId="0" borderId="0" xfId="0" applyFont="1"/>
    <xf numFmtId="0" fontId="0" fillId="11" borderId="0" xfId="0" applyFill="1"/>
    <xf numFmtId="0" fontId="2" fillId="11" borderId="0" xfId="0" applyFont="1" applyFill="1"/>
    <xf numFmtId="0" fontId="0" fillId="12" borderId="0" xfId="0" applyFill="1"/>
    <xf numFmtId="0" fontId="0" fillId="0" borderId="0" xfId="0" applyFont="1" applyFill="1" applyBorder="1"/>
    <xf numFmtId="0" fontId="0" fillId="0" borderId="0" xfId="0" applyFill="1" applyBorder="1"/>
    <xf numFmtId="0" fontId="2" fillId="0" borderId="0" xfId="0" applyFont="1" applyFill="1"/>
    <xf numFmtId="0" fontId="2" fillId="3" borderId="0" xfId="0" applyFont="1" applyFill="1"/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 applyAlignme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Absorbance-Concentration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419318979814431"/>
                  <c:y val="-0.0122721146343194"/>
                </c:manualLayout>
              </c:layout>
              <c:numFmt formatCode="General" sourceLinked="0"/>
            </c:trendlineLbl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spPr>
              <a:ln w="6350"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'3-fold'!$H$2:$H$7</c:f>
              <c:numCache>
                <c:formatCode>General</c:formatCode>
                <c:ptCount val="6"/>
                <c:pt idx="0">
                  <c:v>0.666666667</c:v>
                </c:pt>
                <c:pt idx="1">
                  <c:v>0.222222222</c:v>
                </c:pt>
                <c:pt idx="2">
                  <c:v>0.074074074</c:v>
                </c:pt>
                <c:pt idx="3">
                  <c:v>0.024691358</c:v>
                </c:pt>
                <c:pt idx="4">
                  <c:v>0.008230453</c:v>
                </c:pt>
                <c:pt idx="5">
                  <c:v>0.0</c:v>
                </c:pt>
              </c:numCache>
            </c:numRef>
          </c:xVal>
          <c:yVal>
            <c:numRef>
              <c:f>'3-fold'!$I$2:$I$7</c:f>
              <c:numCache>
                <c:formatCode>General</c:formatCode>
                <c:ptCount val="6"/>
                <c:pt idx="0">
                  <c:v>0.563666666666667</c:v>
                </c:pt>
                <c:pt idx="1">
                  <c:v>0.311</c:v>
                </c:pt>
                <c:pt idx="2">
                  <c:v>0.228333333333333</c:v>
                </c:pt>
                <c:pt idx="3">
                  <c:v>0.14</c:v>
                </c:pt>
                <c:pt idx="4">
                  <c:v>0.133</c:v>
                </c:pt>
                <c:pt idx="5">
                  <c:v>0.104333333333333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211352"/>
        <c:axId val="2076649016"/>
      </c:scatterChart>
      <c:valAx>
        <c:axId val="207721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649016"/>
        <c:crosses val="autoZero"/>
        <c:crossBetween val="midCat"/>
      </c:valAx>
      <c:valAx>
        <c:axId val="2076649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7211352"/>
        <c:crosses val="autoZero"/>
        <c:crossBetween val="midCat"/>
      </c:valAx>
    </c:plotArea>
    <c:plotVisOnly val="1"/>
    <c:dispBlanksAs val="gap"/>
    <c:showDLblsOverMax val="0"/>
  </c:chart>
  <c:spPr>
    <a:blipFill rotWithShape="1">
      <a:blip xmlns:r="http://schemas.openxmlformats.org/officeDocument/2006/relationships" r:embed="rId1"/>
      <a:tile tx="0" ty="0" sx="100000" sy="100000" flip="none" algn="tl"/>
    </a:blipFill>
    <a:ln>
      <a:solidFill>
        <a:srgbClr val="3366FF"/>
      </a:solidFill>
    </a:ln>
    <a:effectLst>
      <a:glow rad="101600">
        <a:schemeClr val="accent3">
          <a:lumMod val="40000"/>
          <a:lumOff val="60000"/>
          <a:alpha val="75000"/>
        </a:schemeClr>
      </a:glow>
      <a:outerShdw blurRad="511175" dist="38100" dir="2700000" algn="tl" rotWithShape="0">
        <a:schemeClr val="accent4">
          <a:alpha val="43000"/>
        </a:schemeClr>
      </a:outerShdw>
      <a:softEdge rad="241300"/>
    </a:effectLst>
    <a:scene3d>
      <a:camera prst="orthographicFront"/>
      <a:lightRig rig="threePt" dir="t"/>
    </a:scene3d>
    <a:sp3d>
      <a:bevelT/>
      <a:bevelB w="139700" prst="cross"/>
    </a:sp3d>
  </c:spPr>
  <c:txPr>
    <a:bodyPr/>
    <a:lstStyle/>
    <a:p>
      <a:pPr>
        <a:defRPr u="none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Cells 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'3-fold'!$Q$13:$Q$16</c:f>
              <c:numCache>
                <c:formatCode>General</c:formatCode>
                <c:ptCount val="4"/>
                <c:pt idx="0">
                  <c:v>20000.0</c:v>
                </c:pt>
                <c:pt idx="1">
                  <c:v>30000.0</c:v>
                </c:pt>
                <c:pt idx="2">
                  <c:v>40000.0</c:v>
                </c:pt>
                <c:pt idx="3">
                  <c:v>50000.0</c:v>
                </c:pt>
              </c:numCache>
            </c:numRef>
          </c:cat>
          <c:val>
            <c:numRef>
              <c:f>'3-fold'!$P$13:$P$16</c:f>
              <c:numCache>
                <c:formatCode>General</c:formatCode>
                <c:ptCount val="4"/>
                <c:pt idx="0">
                  <c:v>664.0</c:v>
                </c:pt>
                <c:pt idx="1">
                  <c:v>8590.0</c:v>
                </c:pt>
                <c:pt idx="2">
                  <c:v>25578.0</c:v>
                </c:pt>
                <c:pt idx="3">
                  <c:v>22990.0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076613464"/>
        <c:axId val="2076607752"/>
        <c:axId val="2076602312"/>
      </c:bar3DChart>
      <c:catAx>
        <c:axId val="207661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Samples(fixed</a:t>
                </a:r>
                <a:r>
                  <a:rPr lang="en-US" baseline="0"/>
                  <a:t> number of cells)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607752"/>
        <c:crosses val="autoZero"/>
        <c:auto val="1"/>
        <c:lblAlgn val="ctr"/>
        <c:lblOffset val="100"/>
        <c:noMultiLvlLbl val="0"/>
      </c:catAx>
      <c:valAx>
        <c:axId val="2076607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Calculated cells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613464"/>
        <c:crosses val="autoZero"/>
        <c:crossBetween val="between"/>
      </c:valAx>
      <c:serAx>
        <c:axId val="2076602312"/>
        <c:scaling>
          <c:orientation val="minMax"/>
        </c:scaling>
        <c:delete val="1"/>
        <c:axPos val="b"/>
        <c:majorTickMark val="out"/>
        <c:minorTickMark val="none"/>
        <c:tickLblPos val="nextTo"/>
        <c:crossAx val="2076607752"/>
        <c:crosses val="autoZero"/>
      </c:serAx>
    </c:plotArea>
    <c:plotVisOnly val="0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Absorbance-Concentration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8575" cmpd="sng">
              <a:solidFill>
                <a:schemeClr val="tx1"/>
              </a:solidFill>
              <a:prstDash val="solid"/>
            </a:ln>
          </c:spPr>
          <c:marker>
            <c:spPr>
              <a:ln w="25400">
                <a:solidFill>
                  <a:schemeClr val="tx1"/>
                </a:solidFill>
              </a:ln>
            </c:spPr>
          </c:marker>
          <c:trendline>
            <c:trendlineType val="linear"/>
            <c:dispRSqr val="0"/>
            <c:dispEq val="0"/>
          </c:trendline>
          <c:trendline>
            <c:spPr>
              <a:ln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trendline>
            <c:trendlineType val="linear"/>
            <c:dispRSqr val="1"/>
            <c:dispEq val="1"/>
            <c:trendlineLbl>
              <c:layout>
                <c:manualLayout>
                  <c:x val="-0.0623031869593151"/>
                  <c:y val="-0.0165765765765766"/>
                </c:manualLayout>
              </c:layout>
              <c:numFmt formatCode="General" sourceLinked="0"/>
            </c:trendlineLbl>
          </c:trendline>
          <c:xVal>
            <c:numRef>
              <c:f>'2-fold'!$H$2:$H$10</c:f>
              <c:numCache>
                <c:formatCode>General</c:formatCode>
                <c:ptCount val="9"/>
                <c:pt idx="0">
                  <c:v>1.0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0.0625</c:v>
                </c:pt>
                <c:pt idx="5">
                  <c:v>0.03125</c:v>
                </c:pt>
                <c:pt idx="6">
                  <c:v>0.015625</c:v>
                </c:pt>
                <c:pt idx="7">
                  <c:v>0.0078125</c:v>
                </c:pt>
                <c:pt idx="8">
                  <c:v>0.0</c:v>
                </c:pt>
              </c:numCache>
            </c:numRef>
          </c:xVal>
          <c:yVal>
            <c:numRef>
              <c:f>'2-fold'!$I$2:$I$10</c:f>
              <c:numCache>
                <c:formatCode>General</c:formatCode>
                <c:ptCount val="9"/>
                <c:pt idx="0">
                  <c:v>0.635333333333333</c:v>
                </c:pt>
                <c:pt idx="1">
                  <c:v>0.428666666666667</c:v>
                </c:pt>
                <c:pt idx="2">
                  <c:v>0.301</c:v>
                </c:pt>
                <c:pt idx="3">
                  <c:v>0.213</c:v>
                </c:pt>
                <c:pt idx="4">
                  <c:v>0.160333333333333</c:v>
                </c:pt>
                <c:pt idx="5">
                  <c:v>0.132</c:v>
                </c:pt>
                <c:pt idx="6">
                  <c:v>0.119</c:v>
                </c:pt>
                <c:pt idx="7">
                  <c:v>0.116666666666667</c:v>
                </c:pt>
                <c:pt idx="8">
                  <c:v>0.0765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551336"/>
        <c:axId val="2076545880"/>
      </c:scatterChart>
      <c:valAx>
        <c:axId val="207655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Concentration (mg/ml)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545880"/>
        <c:crosses val="autoZero"/>
        <c:crossBetween val="midCat"/>
      </c:valAx>
      <c:valAx>
        <c:axId val="2076545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Absorbance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551336"/>
        <c:crosses val="autoZero"/>
        <c:crossBetween val="midCat"/>
      </c:valAx>
    </c:plotArea>
    <c:plotVisOnly val="1"/>
    <c:dispBlanksAs val="gap"/>
    <c:showDLblsOverMax val="0"/>
  </c:chart>
  <c:spPr>
    <a:blipFill rotWithShape="1">
      <a:blip xmlns:r="http://schemas.openxmlformats.org/officeDocument/2006/relationships" r:embed="rId1"/>
      <a:tile tx="0" ty="0" sx="100000" sy="100000" flip="none" algn="tl"/>
    </a:blipFill>
    <a:ln>
      <a:solidFill>
        <a:srgbClr val="3366FF"/>
      </a:solidFill>
    </a:ln>
    <a:effectLst>
      <a:glow rad="101600">
        <a:schemeClr val="accent3">
          <a:lumMod val="40000"/>
          <a:lumOff val="60000"/>
          <a:alpha val="75000"/>
        </a:schemeClr>
      </a:glow>
      <a:outerShdw blurRad="511175" dist="38100" dir="2700000" algn="tl" rotWithShape="0">
        <a:schemeClr val="accent4">
          <a:alpha val="43000"/>
        </a:schemeClr>
      </a:outerShdw>
      <a:softEdge rad="241300"/>
    </a:effectLst>
    <a:scene3d>
      <a:camera prst="orthographicFront"/>
      <a:lightRig rig="threePt" dir="t"/>
    </a:scene3d>
    <a:sp3d>
      <a:bevelT/>
      <a:bevelB w="139700" prst="cross"/>
    </a:sp3d>
  </c:spPr>
  <c:txPr>
    <a:bodyPr/>
    <a:lstStyle/>
    <a:p>
      <a:pPr>
        <a:defRPr u="none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Cells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'2-fold'!$Q$13:$Q$14</c:f>
              <c:numCache>
                <c:formatCode>General</c:formatCode>
                <c:ptCount val="2"/>
                <c:pt idx="0">
                  <c:v>50000.0</c:v>
                </c:pt>
                <c:pt idx="1">
                  <c:v>70000.0</c:v>
                </c:pt>
              </c:numCache>
            </c:numRef>
          </c:cat>
          <c:val>
            <c:numRef>
              <c:f>'2-fold'!$P$13:$P$14</c:f>
              <c:numCache>
                <c:formatCode>General</c:formatCode>
                <c:ptCount val="2"/>
                <c:pt idx="0">
                  <c:v>40395.0</c:v>
                </c:pt>
                <c:pt idx="1">
                  <c:v>42797.0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076515944"/>
        <c:axId val="2076510200"/>
        <c:axId val="2076504744"/>
      </c:bar3DChart>
      <c:catAx>
        <c:axId val="207651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Samples(fixed</a:t>
                </a:r>
                <a:r>
                  <a:rPr lang="en-US" baseline="0"/>
                  <a:t> number of cells)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510200"/>
        <c:crosses val="autoZero"/>
        <c:auto val="1"/>
        <c:lblAlgn val="ctr"/>
        <c:lblOffset val="100"/>
        <c:noMultiLvlLbl val="0"/>
      </c:catAx>
      <c:valAx>
        <c:axId val="2076510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Calclated cells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6515944"/>
        <c:crosses val="autoZero"/>
        <c:crossBetween val="between"/>
      </c:valAx>
      <c:serAx>
        <c:axId val="2076504744"/>
        <c:scaling>
          <c:orientation val="minMax"/>
        </c:scaling>
        <c:delete val="1"/>
        <c:axPos val="b"/>
        <c:majorTickMark val="out"/>
        <c:minorTickMark val="none"/>
        <c:tickLblPos val="nextTo"/>
        <c:crossAx val="2076510200"/>
        <c:crosses val="autoZero"/>
      </c:ser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19</xdr:row>
      <xdr:rowOff>57150</xdr:rowOff>
    </xdr:from>
    <xdr:to>
      <xdr:col>7</xdr:col>
      <xdr:colOff>1358900</xdr:colOff>
      <xdr:row>37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876300</xdr:colOff>
      <xdr:row>16</xdr:row>
      <xdr:rowOff>184150</xdr:rowOff>
    </xdr:from>
    <xdr:to>
      <xdr:col>15</xdr:col>
      <xdr:colOff>1422400</xdr:colOff>
      <xdr:row>37</xdr:row>
      <xdr:rowOff>12700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279400</xdr:colOff>
      <xdr:row>19</xdr:row>
      <xdr:rowOff>31750</xdr:rowOff>
    </xdr:from>
    <xdr:to>
      <xdr:col>7</xdr:col>
      <xdr:colOff>1193800</xdr:colOff>
      <xdr:row>37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1143000</xdr:colOff>
      <xdr:row>20</xdr:row>
      <xdr:rowOff>44450</xdr:rowOff>
    </xdr:from>
    <xdr:to>
      <xdr:col>16</xdr:col>
      <xdr:colOff>177800</xdr:colOff>
      <xdr:row>39</xdr:row>
      <xdr:rowOff>50800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D16" sqref="D16"/>
    </sheetView>
  </sheetViews>
  <sheetFormatPr baseColWidth="10" defaultRowHeight="15" x14ac:dyDescent="0"/>
  <cols>
    <col min="8" max="8" width="18.6640625" bestFit="1" customWidth="1"/>
    <col min="9" max="9" width="12.5" bestFit="1" customWidth="1"/>
    <col min="10" max="10" width="16.6640625" bestFit="1" customWidth="1"/>
    <col min="11" max="11" width="13.1640625" bestFit="1" customWidth="1"/>
    <col min="12" max="12" width="19.1640625" bestFit="1" customWidth="1"/>
    <col min="14" max="14" width="12.1640625" bestFit="1" customWidth="1"/>
    <col min="16" max="16" width="20.6640625" bestFit="1" customWidth="1"/>
    <col min="18" max="18" width="16.1640625" bestFit="1" customWidth="1"/>
  </cols>
  <sheetData>
    <row r="1" spans="1:18">
      <c r="A1" s="1" t="s">
        <v>0</v>
      </c>
      <c r="B1" s="20" t="s">
        <v>13</v>
      </c>
      <c r="C1" s="20"/>
      <c r="D1" s="20"/>
      <c r="E1" s="21" t="s">
        <v>14</v>
      </c>
      <c r="F1" s="21"/>
      <c r="G1" s="21"/>
      <c r="H1" s="4" t="s">
        <v>6</v>
      </c>
      <c r="I1" s="5" t="s">
        <v>7</v>
      </c>
      <c r="J1" s="5" t="s">
        <v>8</v>
      </c>
      <c r="K1" s="5" t="s">
        <v>9</v>
      </c>
      <c r="L1" s="22" t="s">
        <v>15</v>
      </c>
      <c r="M1" s="22"/>
      <c r="N1" s="23"/>
      <c r="O1" s="23"/>
      <c r="P1" s="6" t="s">
        <v>16</v>
      </c>
    </row>
    <row r="2" spans="1:18">
      <c r="A2" s="1" t="s">
        <v>1</v>
      </c>
      <c r="B2">
        <v>3.3000000000000002E-2</v>
      </c>
      <c r="C2">
        <v>2.8000000000000001E-2</v>
      </c>
      <c r="D2">
        <v>2.9000000000000001E-2</v>
      </c>
      <c r="E2">
        <v>0.57599999999999996</v>
      </c>
      <c r="F2">
        <v>0.54400000000000004</v>
      </c>
      <c r="G2">
        <v>0.57099999999999995</v>
      </c>
      <c r="H2" s="2">
        <v>0.66666666699999999</v>
      </c>
      <c r="I2">
        <f>AVERAGE(E2:G2)</f>
        <v>0.56366666666666665</v>
      </c>
      <c r="J2">
        <f>SQRT((I2-E2)^2+(I2-F2)^2+(I2-G2)^2)/2</f>
        <v>1.2172373091006777E-2</v>
      </c>
      <c r="K2">
        <f>J2^(2/3)</f>
        <v>5.2915573030766071E-2</v>
      </c>
      <c r="L2">
        <v>0.17</v>
      </c>
      <c r="N2">
        <v>0.192</v>
      </c>
      <c r="P2" s="1"/>
      <c r="Q2" s="8"/>
    </row>
    <row r="3" spans="1:18">
      <c r="A3" s="1" t="s">
        <v>4</v>
      </c>
      <c r="B3">
        <v>2.9000000000000001E-2</v>
      </c>
      <c r="C3">
        <v>2.9000000000000001E-2</v>
      </c>
      <c r="D3">
        <v>2.9000000000000001E-2</v>
      </c>
      <c r="E3">
        <v>0.312</v>
      </c>
      <c r="F3">
        <v>0.30099999999999999</v>
      </c>
      <c r="G3">
        <v>0.32</v>
      </c>
      <c r="H3" s="2">
        <v>0.222222222</v>
      </c>
      <c r="I3">
        <f t="shared" ref="I3:I7" si="0">AVERAGE(E3:G3)</f>
        <v>0.311</v>
      </c>
      <c r="J3">
        <f t="shared" ref="J3:J7" si="1">SQRT((I3-E3)^2+(I3-F3)^2+(I3-G3)^2)/2</f>
        <v>6.7453687816160261E-3</v>
      </c>
      <c r="K3">
        <f t="shared" ref="K3:K7" si="2">J3^(2/3)</f>
        <v>3.5700184909607816E-2</v>
      </c>
      <c r="L3">
        <v>0.16200000000000001</v>
      </c>
      <c r="M3" s="1">
        <f>AVERAGE(L2:L4)</f>
        <v>0.13866666666666669</v>
      </c>
      <c r="N3">
        <v>0.161</v>
      </c>
      <c r="P3" s="19">
        <f>(M3-0.1373)/0.6593</f>
        <v>2.0729056069568978E-3</v>
      </c>
      <c r="Q3" s="9"/>
    </row>
    <row r="4" spans="1:18">
      <c r="A4" s="1" t="s">
        <v>2</v>
      </c>
      <c r="B4">
        <v>2.3E-2</v>
      </c>
      <c r="C4">
        <v>3.2000000000000001E-2</v>
      </c>
      <c r="D4">
        <v>2.7E-2</v>
      </c>
      <c r="E4">
        <v>0.20200000000000001</v>
      </c>
      <c r="F4">
        <v>0.215</v>
      </c>
      <c r="G4">
        <v>0.26800000000000002</v>
      </c>
      <c r="H4" s="2">
        <v>7.4074074000000004E-2</v>
      </c>
      <c r="I4">
        <f t="shared" si="0"/>
        <v>0.22833333333333336</v>
      </c>
      <c r="J4">
        <f t="shared" si="1"/>
        <v>2.4721785264552938E-2</v>
      </c>
      <c r="K4">
        <f t="shared" si="2"/>
        <v>8.4863294286792124E-2</v>
      </c>
      <c r="L4" s="11">
        <v>8.4000000000000005E-2</v>
      </c>
      <c r="N4">
        <v>0.2</v>
      </c>
      <c r="O4" s="1">
        <f>AVERAGE(N3:N5)</f>
        <v>0.18466666666666667</v>
      </c>
      <c r="P4" s="1"/>
      <c r="Q4" s="9">
        <f>(O4-0.1373)/0.6593</f>
        <v>7.1843874816724815E-2</v>
      </c>
    </row>
    <row r="5" spans="1:18">
      <c r="A5" s="1" t="s">
        <v>3</v>
      </c>
      <c r="B5">
        <v>2.8000000000000001E-2</v>
      </c>
      <c r="C5">
        <v>2.9000000000000001E-2</v>
      </c>
      <c r="D5">
        <v>2.9000000000000001E-2</v>
      </c>
      <c r="E5">
        <v>0.14199999999999999</v>
      </c>
      <c r="F5">
        <v>0.14199999999999999</v>
      </c>
      <c r="G5">
        <v>0.13600000000000001</v>
      </c>
      <c r="H5" s="2">
        <v>2.4691358E-2</v>
      </c>
      <c r="I5">
        <f t="shared" si="0"/>
        <v>0.13999999999999999</v>
      </c>
      <c r="J5">
        <f t="shared" si="1"/>
        <v>2.4494897427831692E-3</v>
      </c>
      <c r="K5">
        <f t="shared" si="2"/>
        <v>1.8171205928321353E-2</v>
      </c>
      <c r="L5" s="11">
        <v>0.123</v>
      </c>
      <c r="N5">
        <v>0.193</v>
      </c>
      <c r="P5" s="7"/>
      <c r="Q5" s="9"/>
    </row>
    <row r="6" spans="1:18">
      <c r="A6" s="1" t="s">
        <v>5</v>
      </c>
      <c r="B6">
        <v>3.2000000000000001E-2</v>
      </c>
      <c r="C6">
        <v>0.03</v>
      </c>
      <c r="D6">
        <v>3.1E-2</v>
      </c>
      <c r="E6">
        <v>0.113</v>
      </c>
      <c r="F6" s="11">
        <v>0.17100000000000001</v>
      </c>
      <c r="G6">
        <v>0.115</v>
      </c>
      <c r="H6" s="2">
        <v>8.2304530000000004E-3</v>
      </c>
      <c r="I6">
        <f t="shared" si="0"/>
        <v>0.13300000000000001</v>
      </c>
      <c r="J6">
        <f t="shared" si="1"/>
        <v>2.3280893453645635E-2</v>
      </c>
      <c r="K6">
        <f t="shared" si="2"/>
        <v>8.1532938622369114E-2</v>
      </c>
      <c r="L6">
        <v>0.17899999999999999</v>
      </c>
      <c r="M6" s="1">
        <f>AVERAGE(L5:L7)</f>
        <v>0.155</v>
      </c>
      <c r="P6" s="7">
        <f>(M6-0.1373)/0.6593</f>
        <v>2.6846655543758521E-2</v>
      </c>
    </row>
    <row r="7" spans="1:18" ht="16" thickBot="1">
      <c r="A7" s="1" t="s">
        <v>10</v>
      </c>
      <c r="E7">
        <v>0.10299999999999999</v>
      </c>
      <c r="F7">
        <v>0.108</v>
      </c>
      <c r="G7">
        <v>0.10199999999999999</v>
      </c>
      <c r="H7" s="3">
        <v>0</v>
      </c>
      <c r="I7">
        <f t="shared" si="0"/>
        <v>0.10433333333333333</v>
      </c>
      <c r="J7">
        <f t="shared" si="1"/>
        <v>2.2730302828309779E-3</v>
      </c>
      <c r="K7">
        <f t="shared" si="2"/>
        <v>1.7287683958802549E-2</v>
      </c>
      <c r="L7">
        <v>0.16300000000000001</v>
      </c>
      <c r="P7" s="7"/>
    </row>
    <row r="8" spans="1:18">
      <c r="A8" s="1" t="s">
        <v>11</v>
      </c>
      <c r="L8">
        <v>0.186</v>
      </c>
      <c r="P8" s="8"/>
    </row>
    <row r="9" spans="1:18">
      <c r="A9" s="1" t="s">
        <v>12</v>
      </c>
      <c r="B9" s="11" t="s">
        <v>26</v>
      </c>
      <c r="L9">
        <v>0.192</v>
      </c>
      <c r="M9" s="1">
        <f>AVERAGE(L8,L9,N2)</f>
        <v>0.19000000000000003</v>
      </c>
      <c r="P9" s="8">
        <f>(M9-0.1373)/0.6593</f>
        <v>7.9933262551190695E-2</v>
      </c>
    </row>
    <row r="11" spans="1:18">
      <c r="C11" t="s">
        <v>29</v>
      </c>
      <c r="D11" t="s">
        <v>30</v>
      </c>
      <c r="F11" t="s">
        <v>31</v>
      </c>
    </row>
    <row r="12" spans="1:18">
      <c r="C12">
        <f>TTEST(E2:G2,E3:G3,2,3)</f>
        <v>1.5235367358840503E-4</v>
      </c>
      <c r="D12">
        <f>TTEST(E2:G2,E7:G7,2,3)</f>
        <v>3.1253060493628481E-4</v>
      </c>
      <c r="F12">
        <f>(I2-I3)/SQRT(K2+K3)</f>
        <v>0.84877479172600456</v>
      </c>
      <c r="J12" s="15" t="s">
        <v>17</v>
      </c>
      <c r="K12" s="15" t="s">
        <v>18</v>
      </c>
      <c r="L12" s="15" t="s">
        <v>21</v>
      </c>
      <c r="M12" s="15" t="s">
        <v>20</v>
      </c>
      <c r="N12" s="15" t="s">
        <v>19</v>
      </c>
      <c r="O12" s="15" t="s">
        <v>22</v>
      </c>
      <c r="P12" s="13" t="s">
        <v>22</v>
      </c>
      <c r="Q12" s="13" t="s">
        <v>23</v>
      </c>
      <c r="R12" s="15" t="s">
        <v>25</v>
      </c>
    </row>
    <row r="13" spans="1:18">
      <c r="C13">
        <f t="shared" ref="C13:C15" si="3">TTEST(E3:G3,E4:G4,2,3)</f>
        <v>4.6450112098214598E-2</v>
      </c>
      <c r="D13">
        <f>TTEST(E3:G3,E7:G7,2,3)</f>
        <v>2.1983127015894649E-4</v>
      </c>
      <c r="F13">
        <f t="shared" ref="F13:F17" si="4">(I3-I4)/SQRT(K3+K4)</f>
        <v>0.238079795031643</v>
      </c>
      <c r="J13" s="18">
        <f>P3</f>
        <v>2.0729056069568978E-3</v>
      </c>
      <c r="K13" s="12">
        <f>4*J13</f>
        <v>8.2916224278275913E-3</v>
      </c>
      <c r="L13" s="12">
        <f>0.04</f>
        <v>0.04</v>
      </c>
      <c r="M13" s="12">
        <f>K13*L13</f>
        <v>3.3166489711310365E-4</v>
      </c>
      <c r="N13" s="12">
        <f>M13*10^6</f>
        <v>331.66489711310368</v>
      </c>
      <c r="O13" s="12">
        <f>N13/0.5</f>
        <v>663.32979422620735</v>
      </c>
      <c r="P13" s="13">
        <v>664</v>
      </c>
      <c r="Q13" s="13">
        <v>20000</v>
      </c>
      <c r="R13">
        <f>100*(P13/Q13)</f>
        <v>3.32</v>
      </c>
    </row>
    <row r="14" spans="1:18">
      <c r="C14">
        <f t="shared" si="3"/>
        <v>4.7211731447169183E-2</v>
      </c>
      <c r="D14">
        <f>TTEST(E4:G4,E7:G7,2,3)</f>
        <v>2.4679894300941564E-2</v>
      </c>
      <c r="F14">
        <f t="shared" si="4"/>
        <v>0.27519040336678074</v>
      </c>
      <c r="J14" s="10">
        <f>P6</f>
        <v>2.6846655543758521E-2</v>
      </c>
      <c r="K14">
        <f t="shared" ref="K14:K16" si="5">4*J14</f>
        <v>0.10738662217503409</v>
      </c>
      <c r="L14" s="12">
        <f t="shared" ref="L14:L16" si="6">0.04</f>
        <v>0.04</v>
      </c>
      <c r="M14">
        <f t="shared" ref="M14:M16" si="7">K14*L14</f>
        <v>4.2954648870013636E-3</v>
      </c>
      <c r="N14">
        <f t="shared" ref="N14:N16" si="8">M14*10^6</f>
        <v>4295.4648870013634</v>
      </c>
      <c r="O14" s="12">
        <f t="shared" ref="O14:O16" si="9">N14/0.5</f>
        <v>8590.9297740027268</v>
      </c>
      <c r="P14" s="14">
        <v>8590</v>
      </c>
      <c r="Q14" s="13">
        <v>30000</v>
      </c>
      <c r="R14">
        <f t="shared" ref="R14:R16" si="10">100*(P14/Q14)</f>
        <v>28.633333333333333</v>
      </c>
    </row>
    <row r="15" spans="1:18">
      <c r="C15">
        <f t="shared" si="3"/>
        <v>0.7486322459300917</v>
      </c>
      <c r="D15">
        <f>TTEST(E5:G5,E7:G7,2,3)</f>
        <v>2.0442296900970104E-4</v>
      </c>
      <c r="F15">
        <f t="shared" si="4"/>
        <v>2.2168761657349753E-2</v>
      </c>
      <c r="J15" s="10">
        <f>P9</f>
        <v>7.9933262551190695E-2</v>
      </c>
      <c r="K15">
        <f t="shared" si="5"/>
        <v>0.31973305020476278</v>
      </c>
      <c r="L15" s="12">
        <f t="shared" si="6"/>
        <v>0.04</v>
      </c>
      <c r="M15">
        <f t="shared" si="7"/>
        <v>1.2789322008190511E-2</v>
      </c>
      <c r="N15">
        <f t="shared" si="8"/>
        <v>12789.322008190511</v>
      </c>
      <c r="O15" s="12">
        <f t="shared" si="9"/>
        <v>25578.644016381022</v>
      </c>
      <c r="P15" s="14">
        <v>25578</v>
      </c>
      <c r="Q15" s="13">
        <v>40000</v>
      </c>
      <c r="R15">
        <f t="shared" si="10"/>
        <v>63.944999999999993</v>
      </c>
    </row>
    <row r="16" spans="1:18">
      <c r="D16">
        <f>TTEST(E6:G6,E7:G7,2,3)</f>
        <v>0.26994706728338508</v>
      </c>
      <c r="F16">
        <f t="shared" si="4"/>
        <v>9.1191299316771737E-2</v>
      </c>
      <c r="J16" s="10">
        <f>Q4</f>
        <v>7.1843874816724815E-2</v>
      </c>
      <c r="K16">
        <f t="shared" si="5"/>
        <v>0.28737549926689926</v>
      </c>
      <c r="L16" s="12">
        <f t="shared" si="6"/>
        <v>0.04</v>
      </c>
      <c r="M16">
        <f t="shared" si="7"/>
        <v>1.1495019970675971E-2</v>
      </c>
      <c r="N16">
        <f t="shared" si="8"/>
        <v>11495.01997067597</v>
      </c>
      <c r="O16" s="12">
        <f t="shared" si="9"/>
        <v>22990.039941351941</v>
      </c>
      <c r="P16" s="14">
        <v>22990</v>
      </c>
      <c r="Q16" s="13">
        <v>50000</v>
      </c>
      <c r="R16">
        <f t="shared" si="10"/>
        <v>45.98</v>
      </c>
    </row>
  </sheetData>
  <mergeCells count="3">
    <mergeCell ref="B1:D1"/>
    <mergeCell ref="E1:G1"/>
    <mergeCell ref="L1:O1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B12" sqref="B12"/>
    </sheetView>
  </sheetViews>
  <sheetFormatPr baseColWidth="10" defaultRowHeight="15" x14ac:dyDescent="0"/>
  <cols>
    <col min="8" max="8" width="18.6640625" bestFit="1" customWidth="1"/>
    <col min="9" max="9" width="12.5" bestFit="1" customWidth="1"/>
    <col min="10" max="10" width="16.6640625" bestFit="1" customWidth="1"/>
    <col min="11" max="11" width="13.1640625" bestFit="1" customWidth="1"/>
    <col min="12" max="12" width="19.1640625" bestFit="1" customWidth="1"/>
    <col min="14" max="14" width="12.1640625" bestFit="1" customWidth="1"/>
    <col min="16" max="16" width="20.6640625" bestFit="1" customWidth="1"/>
    <col min="18" max="18" width="16.1640625" bestFit="1" customWidth="1"/>
  </cols>
  <sheetData>
    <row r="1" spans="1:18">
      <c r="A1" s="1" t="s">
        <v>0</v>
      </c>
      <c r="B1" s="20" t="s">
        <v>13</v>
      </c>
      <c r="C1" s="20"/>
      <c r="D1" s="20"/>
      <c r="E1" s="21" t="s">
        <v>14</v>
      </c>
      <c r="F1" s="21"/>
      <c r="G1" s="21"/>
      <c r="H1" s="4" t="s">
        <v>6</v>
      </c>
      <c r="I1" s="5" t="s">
        <v>7</v>
      </c>
      <c r="J1" s="5" t="s">
        <v>8</v>
      </c>
      <c r="K1" s="5" t="s">
        <v>9</v>
      </c>
      <c r="L1" s="22" t="s">
        <v>15</v>
      </c>
      <c r="M1" s="22"/>
      <c r="N1" s="23"/>
      <c r="O1" s="23"/>
      <c r="P1" s="6" t="s">
        <v>16</v>
      </c>
    </row>
    <row r="2" spans="1:18">
      <c r="A2" s="1" t="s">
        <v>1</v>
      </c>
      <c r="B2">
        <v>3.2000000000000001E-2</v>
      </c>
      <c r="C2">
        <v>3.4000000000000002E-2</v>
      </c>
      <c r="D2">
        <v>2.7E-2</v>
      </c>
      <c r="E2">
        <v>0.59599999999999997</v>
      </c>
      <c r="F2">
        <v>0.63600000000000001</v>
      </c>
      <c r="G2">
        <v>0.67400000000000004</v>
      </c>
      <c r="H2">
        <f>1</f>
        <v>1</v>
      </c>
      <c r="I2">
        <f t="shared" ref="I2:I9" si="0">AVERAGE(E2:G2)</f>
        <v>0.63533333333333342</v>
      </c>
      <c r="J2">
        <f t="shared" ref="J2:J10" si="1">SQRT((I2-E2)^2+(I2-F2)^2+(I2-G2)^2)/2</f>
        <v>2.7580186124583496E-2</v>
      </c>
      <c r="K2">
        <f t="shared" ref="K2:K10" si="2">J2^(2/3)</f>
        <v>9.1284728550447822E-2</v>
      </c>
      <c r="L2">
        <v>0.16600000000000001</v>
      </c>
      <c r="N2">
        <v>0.11600000000000001</v>
      </c>
      <c r="O2" s="1">
        <f>AVERAGE(L8,L9,N2)</f>
        <v>0.11133333333333334</v>
      </c>
      <c r="P2" s="1"/>
      <c r="Q2" s="10"/>
    </row>
    <row r="3" spans="1:18">
      <c r="A3" s="1" t="s">
        <v>4</v>
      </c>
      <c r="B3">
        <v>3.4000000000000002E-2</v>
      </c>
      <c r="C3">
        <v>3.3000000000000002E-2</v>
      </c>
      <c r="D3">
        <v>3.6999999999999998E-2</v>
      </c>
      <c r="E3">
        <v>0.42799999999999999</v>
      </c>
      <c r="F3">
        <v>0.41699999999999998</v>
      </c>
      <c r="G3">
        <v>0.441</v>
      </c>
      <c r="H3">
        <f>1/2</f>
        <v>0.5</v>
      </c>
      <c r="I3">
        <f t="shared" si="0"/>
        <v>0.4286666666666667</v>
      </c>
      <c r="J3">
        <f t="shared" si="1"/>
        <v>8.4950966249164456E-3</v>
      </c>
      <c r="K3">
        <f t="shared" si="2"/>
        <v>4.1633751783275282E-2</v>
      </c>
      <c r="L3">
        <v>0.16</v>
      </c>
      <c r="M3" s="10"/>
      <c r="P3" s="19">
        <f>(M4-0.1221)/0.5439</f>
        <v>7.2133357847643548E-2</v>
      </c>
      <c r="Q3" s="10"/>
    </row>
    <row r="4" spans="1:18">
      <c r="A4" s="1" t="s">
        <v>2</v>
      </c>
      <c r="B4">
        <v>2.9000000000000001E-2</v>
      </c>
      <c r="C4">
        <v>2.8000000000000001E-2</v>
      </c>
      <c r="D4">
        <v>2.7E-2</v>
      </c>
      <c r="E4">
        <v>0.28299999999999997</v>
      </c>
      <c r="F4">
        <v>0.29599999999999999</v>
      </c>
      <c r="G4">
        <v>0.32400000000000001</v>
      </c>
      <c r="H4">
        <f>1/4</f>
        <v>0.25</v>
      </c>
      <c r="I4">
        <f t="shared" si="0"/>
        <v>0.30099999999999999</v>
      </c>
      <c r="J4">
        <f t="shared" si="1"/>
        <v>1.4815532390029067E-2</v>
      </c>
      <c r="K4">
        <f t="shared" si="2"/>
        <v>6.0322339262965929E-2</v>
      </c>
      <c r="L4">
        <v>0.158</v>
      </c>
      <c r="M4" s="1">
        <f>AVERAGE(L2:L4)</f>
        <v>0.16133333333333333</v>
      </c>
      <c r="O4" s="10"/>
      <c r="P4" s="1"/>
      <c r="Q4" s="10"/>
    </row>
    <row r="5" spans="1:18">
      <c r="A5" s="1" t="s">
        <v>3</v>
      </c>
      <c r="B5">
        <v>0.03</v>
      </c>
      <c r="C5">
        <v>3.2000000000000001E-2</v>
      </c>
      <c r="D5">
        <v>2.8000000000000001E-2</v>
      </c>
      <c r="E5">
        <v>0.219</v>
      </c>
      <c r="F5">
        <v>0.19900000000000001</v>
      </c>
      <c r="G5">
        <v>0.221</v>
      </c>
      <c r="H5">
        <f>1/8</f>
        <v>0.125</v>
      </c>
      <c r="I5">
        <f t="shared" si="0"/>
        <v>0.21299999999999999</v>
      </c>
      <c r="J5">
        <f t="shared" si="1"/>
        <v>8.6023252670426233E-3</v>
      </c>
      <c r="K5">
        <f t="shared" si="2"/>
        <v>4.1983364538084079E-2</v>
      </c>
      <c r="L5">
        <v>0.16300000000000001</v>
      </c>
      <c r="P5" s="7"/>
      <c r="Q5" s="10"/>
    </row>
    <row r="6" spans="1:18">
      <c r="A6" s="1" t="s">
        <v>5</v>
      </c>
      <c r="B6">
        <v>3.3000000000000002E-2</v>
      </c>
      <c r="C6">
        <v>0.03</v>
      </c>
      <c r="D6">
        <v>3.1E-2</v>
      </c>
      <c r="E6">
        <v>0.16200000000000001</v>
      </c>
      <c r="F6">
        <v>0.156</v>
      </c>
      <c r="G6">
        <v>0.16300000000000001</v>
      </c>
      <c r="H6">
        <f>1/16</f>
        <v>6.25E-2</v>
      </c>
      <c r="I6">
        <f t="shared" si="0"/>
        <v>0.16033333333333333</v>
      </c>
      <c r="J6">
        <f t="shared" si="1"/>
        <v>2.6770630673681709E-3</v>
      </c>
      <c r="K6">
        <f t="shared" si="2"/>
        <v>1.9279942532192527E-2</v>
      </c>
      <c r="L6">
        <v>0.16800000000000001</v>
      </c>
      <c r="M6" s="16"/>
      <c r="P6" s="7">
        <f>(M7-0.1221)/0.5439</f>
        <v>7.6423362137647818E-2</v>
      </c>
    </row>
    <row r="7" spans="1:18">
      <c r="A7" s="1" t="s">
        <v>10</v>
      </c>
      <c r="B7">
        <v>3.5000000000000003E-2</v>
      </c>
      <c r="C7">
        <v>2.7E-2</v>
      </c>
      <c r="D7">
        <v>3.1E-2</v>
      </c>
      <c r="E7">
        <v>0.129</v>
      </c>
      <c r="F7">
        <v>0.129</v>
      </c>
      <c r="G7">
        <v>0.13800000000000001</v>
      </c>
      <c r="H7">
        <f>1/32</f>
        <v>3.125E-2</v>
      </c>
      <c r="I7">
        <f t="shared" si="0"/>
        <v>0.13200000000000001</v>
      </c>
      <c r="J7">
        <f t="shared" si="1"/>
        <v>3.6742346141747702E-3</v>
      </c>
      <c r="K7">
        <f t="shared" si="2"/>
        <v>2.3811015779523017E-2</v>
      </c>
      <c r="L7">
        <v>0.16</v>
      </c>
      <c r="M7" s="1">
        <f>AVERAGE(L5:L7)</f>
        <v>0.16366666666666665</v>
      </c>
      <c r="P7" s="7"/>
    </row>
    <row r="8" spans="1:18">
      <c r="A8" s="1" t="s">
        <v>11</v>
      </c>
      <c r="B8">
        <v>0.03</v>
      </c>
      <c r="C8">
        <v>2.5999999999999999E-2</v>
      </c>
      <c r="D8">
        <v>3.4000000000000002E-2</v>
      </c>
      <c r="E8">
        <v>0.12</v>
      </c>
      <c r="F8">
        <v>0.114</v>
      </c>
      <c r="G8">
        <v>0.123</v>
      </c>
      <c r="H8">
        <f>1/64</f>
        <v>1.5625E-2</v>
      </c>
      <c r="I8">
        <f t="shared" si="0"/>
        <v>0.11899999999999999</v>
      </c>
      <c r="J8">
        <f t="shared" si="1"/>
        <v>3.2403703492039277E-3</v>
      </c>
      <c r="K8">
        <f t="shared" si="2"/>
        <v>2.1897595699439432E-2</v>
      </c>
      <c r="L8">
        <v>0.111</v>
      </c>
      <c r="P8" s="8"/>
    </row>
    <row r="9" spans="1:18">
      <c r="A9" s="1" t="s">
        <v>12</v>
      </c>
      <c r="B9">
        <v>2.8000000000000001E-2</v>
      </c>
      <c r="C9">
        <v>2.7E-2</v>
      </c>
      <c r="D9">
        <v>2.9000000000000001E-2</v>
      </c>
      <c r="E9">
        <v>0.11</v>
      </c>
      <c r="F9">
        <v>0.1</v>
      </c>
      <c r="G9">
        <v>0.14000000000000001</v>
      </c>
      <c r="H9">
        <f>1/128</f>
        <v>7.8125E-3</v>
      </c>
      <c r="I9" s="17">
        <f t="shared" si="0"/>
        <v>0.11666666666666668</v>
      </c>
      <c r="J9">
        <f t="shared" si="1"/>
        <v>1.4719601443879748E-2</v>
      </c>
      <c r="K9">
        <f t="shared" si="2"/>
        <v>6.006166499715223E-2</v>
      </c>
      <c r="L9">
        <v>0.107</v>
      </c>
      <c r="M9" s="10"/>
      <c r="P9" s="8">
        <f>(O2-0.1221)/0.5439</f>
        <v>-1.9795305509591212E-2</v>
      </c>
    </row>
    <row r="10" spans="1:18">
      <c r="E10">
        <v>0.10100000000000001</v>
      </c>
      <c r="F10">
        <v>9.8000000000000004E-2</v>
      </c>
      <c r="G10">
        <v>0.107</v>
      </c>
      <c r="H10">
        <v>0</v>
      </c>
      <c r="I10" s="17">
        <f>AVERAGE(E10:H10)</f>
        <v>7.6499999999999999E-2</v>
      </c>
      <c r="J10">
        <f t="shared" si="1"/>
        <v>2.2320114247019438E-2</v>
      </c>
      <c r="K10">
        <f t="shared" si="2"/>
        <v>7.9274030998451706E-2</v>
      </c>
    </row>
    <row r="12" spans="1:18">
      <c r="J12" s="15" t="s">
        <v>17</v>
      </c>
      <c r="K12" s="15" t="s">
        <v>18</v>
      </c>
      <c r="L12" s="15" t="s">
        <v>21</v>
      </c>
      <c r="M12" s="15" t="s">
        <v>20</v>
      </c>
      <c r="N12" s="15" t="s">
        <v>19</v>
      </c>
      <c r="O12" s="15" t="s">
        <v>22</v>
      </c>
      <c r="P12" s="13" t="s">
        <v>22</v>
      </c>
      <c r="Q12" s="13" t="s">
        <v>23</v>
      </c>
      <c r="R12" s="15" t="s">
        <v>25</v>
      </c>
    </row>
    <row r="13" spans="1:18">
      <c r="J13" s="18">
        <f>P3</f>
        <v>7.2133357847643548E-2</v>
      </c>
      <c r="K13" s="12">
        <f>4*J13</f>
        <v>0.28853343139057419</v>
      </c>
      <c r="L13" s="12">
        <f>0.07</f>
        <v>7.0000000000000007E-2</v>
      </c>
      <c r="M13" s="12">
        <f>K13*L13</f>
        <v>2.0197340197340194E-2</v>
      </c>
      <c r="N13" s="12">
        <f>M13*10^6</f>
        <v>20197.340197340192</v>
      </c>
      <c r="O13" s="12">
        <f>N13/0.5</f>
        <v>40394.680394680385</v>
      </c>
      <c r="P13" s="13">
        <v>40395</v>
      </c>
      <c r="Q13" s="13">
        <v>50000</v>
      </c>
      <c r="R13">
        <f>100*(P13/Q13)</f>
        <v>80.789999999999992</v>
      </c>
    </row>
    <row r="14" spans="1:18">
      <c r="J14" s="18">
        <f>P6</f>
        <v>7.6423362137647818E-2</v>
      </c>
      <c r="K14" s="12">
        <f t="shared" ref="K14:K15" si="3">4*J14</f>
        <v>0.30569344855059127</v>
      </c>
      <c r="L14" s="12">
        <f>0.07</f>
        <v>7.0000000000000007E-2</v>
      </c>
      <c r="M14" s="12">
        <f t="shared" ref="M14:M15" si="4">K14*L14</f>
        <v>2.1398541398541391E-2</v>
      </c>
      <c r="N14" s="12">
        <f t="shared" ref="N14:N15" si="5">M14*10^6</f>
        <v>21398.541398541391</v>
      </c>
      <c r="O14" s="12">
        <f t="shared" ref="O14:O15" si="6">N14/0.5</f>
        <v>42797.082797082781</v>
      </c>
      <c r="P14" s="14">
        <v>42797</v>
      </c>
      <c r="Q14" s="13">
        <v>70000</v>
      </c>
      <c r="R14">
        <f>100*(P14/Q14)</f>
        <v>61.138571428571431</v>
      </c>
    </row>
    <row r="15" spans="1:18">
      <c r="J15" s="18">
        <f>P9</f>
        <v>-1.9795305509591212E-2</v>
      </c>
      <c r="K15" s="12">
        <f t="shared" si="3"/>
        <v>-7.9181222038364849E-2</v>
      </c>
      <c r="L15" s="12">
        <f t="shared" ref="L15" si="7">0.07</f>
        <v>7.0000000000000007E-2</v>
      </c>
      <c r="M15" s="12">
        <f t="shared" si="4"/>
        <v>-5.5426855426855401E-3</v>
      </c>
      <c r="N15" s="12">
        <f t="shared" si="5"/>
        <v>-5542.68554268554</v>
      </c>
      <c r="O15" s="12">
        <f t="shared" si="6"/>
        <v>-11085.37108537108</v>
      </c>
      <c r="P15" s="14">
        <v>-11085</v>
      </c>
      <c r="Q15" s="13" t="s">
        <v>24</v>
      </c>
    </row>
    <row r="16" spans="1:18">
      <c r="J16" s="10"/>
      <c r="L16" s="12"/>
      <c r="O16" s="12"/>
      <c r="P16" s="14"/>
      <c r="Q16" s="13"/>
    </row>
    <row r="18" spans="12:12">
      <c r="L18" s="11" t="s">
        <v>27</v>
      </c>
    </row>
    <row r="19" spans="12:12">
      <c r="L19" s="11" t="s">
        <v>28</v>
      </c>
    </row>
  </sheetData>
  <mergeCells count="3">
    <mergeCell ref="B1:D1"/>
    <mergeCell ref="E1:G1"/>
    <mergeCell ref="L1:O1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3-fold</vt:lpstr>
      <vt:lpstr>2-fold</vt:lpstr>
    </vt:vector>
  </TitlesOfParts>
  <Company>kostadinos.davilas@gmail.com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kostadinos davilas</dc:creator>
  <cp:lastModifiedBy>kostadinos davilas</cp:lastModifiedBy>
  <dcterms:created xsi:type="dcterms:W3CDTF">2015-01-19T03:18:22Z</dcterms:created>
  <dcterms:modified xsi:type="dcterms:W3CDTF">2015-01-21T04:20:52Z</dcterms:modified>
</cp:coreProperties>
</file>